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75" yWindow="150" windowWidth="15480" windowHeight="8055" tabRatio="677" activeTab="0"/>
  </bookViews>
  <sheets>
    <sheet name="履修表（概論用） " sheetId="1" r:id="rId1"/>
    <sheet name="編集禁止" sheetId="2" state="hidden" r:id="rId2"/>
  </sheets>
  <definedNames>
    <definedName name="_xlnm.Print_Area" localSheetId="0">'履修表（概論用） '!$A$1:$K$28</definedName>
    <definedName name="カリキュラム名">'編集禁止'!$A$17:$T$20</definedName>
    <definedName name="概論カリキュラム名">'編集禁止'!$A$17:$T$20</definedName>
    <definedName name="概論項目数">'編集禁止'!$A$2:$T$5</definedName>
    <definedName name="概論時間数">'編集禁止'!$A$7:$T$10</definedName>
    <definedName name="概論題目">'編集禁止'!$A$12:$T$15</definedName>
    <definedName name="項目数">'編集禁止'!$A$2:$T$5</definedName>
    <definedName name="時間数">'編集禁止'!$A$7:$T$10</definedName>
    <definedName name="題目">'編集禁止'!$A$12:$T$15</definedName>
  </definedNames>
  <calcPr fullCalcOnLoad="1" refMode="R1C1"/>
</workbook>
</file>

<file path=xl/sharedStrings.xml><?xml version="1.0" encoding="utf-8"?>
<sst xmlns="http://schemas.openxmlformats.org/spreadsheetml/2006/main" count="262" uniqueCount="127">
  <si>
    <t>生　年　月　日</t>
  </si>
  <si>
    <t>No.</t>
  </si>
  <si>
    <t>時間</t>
  </si>
  <si>
    <t>講師</t>
  </si>
  <si>
    <t>受講年月日</t>
  </si>
  <si>
    <t>例</t>
  </si>
  <si>
    <t>実施団体名</t>
  </si>
  <si>
    <t>科目</t>
  </si>
  <si>
    <t>全国体験活動指導者認定委員会</t>
  </si>
  <si>
    <t>種　　　　　類</t>
  </si>
  <si>
    <t>時間数</t>
  </si>
  <si>
    <t>題名</t>
  </si>
  <si>
    <t>ニール自然学校</t>
  </si>
  <si>
    <t>自然太郎</t>
  </si>
  <si>
    <t>―</t>
  </si>
  <si>
    <t>氏　　　　　名</t>
  </si>
  <si>
    <t>項目数</t>
  </si>
  <si>
    <t>カリキュラム名</t>
  </si>
  <si>
    <t>自然体験活動の技術</t>
  </si>
  <si>
    <t>自然体験活動の安全管理</t>
  </si>
  <si>
    <t>特質</t>
  </si>
  <si>
    <t>技術</t>
  </si>
  <si>
    <t>安全管理</t>
  </si>
  <si>
    <t>企画・運営</t>
  </si>
  <si>
    <t>住　　　　　所</t>
  </si>
  <si>
    <t>地域との連携の実際</t>
  </si>
  <si>
    <t>概　論　Ⅰ</t>
  </si>
  <si>
    <t>主な内容</t>
  </si>
  <si>
    <t>時間</t>
  </si>
  <si>
    <t>・青少年教育における体験活動の意義</t>
  </si>
  <si>
    <t>・地域の自然体験活動の特色
・自然体験活動の意義と課題</t>
  </si>
  <si>
    <t>・様々な自然体験活動の体験(1)(2)
・自然体験活動の基本的な技術
・自然体験活動の構成</t>
  </si>
  <si>
    <t>・自然体験活動における基本的な安全管理
・応急処置</t>
  </si>
  <si>
    <t>・認定試験</t>
  </si>
  <si>
    <t>概　論　Ⅱ</t>
  </si>
  <si>
    <t>・学校教育における体験活動の意義</t>
  </si>
  <si>
    <t>・地域の自然環境、文化、歴史、産業</t>
  </si>
  <si>
    <r>
      <t>・対象者への配慮と対応方法
・特別な配慮を要する対象者の理解と対応</t>
    </r>
  </si>
  <si>
    <t>・自然体験活動の指導方法 
・自然体験活動の指導技術</t>
  </si>
  <si>
    <t>・自然体験活動の専門的な技術の体験
・自然体験活動の専門的な技術の理解</t>
  </si>
  <si>
    <t>・安全管理の意義と方法
・活動場所とプログラムにおける安全管理</t>
  </si>
  <si>
    <t>・自然体験活動におけるプログラムの企画(1)(2)(3)
・自然体験活動におけるプログラムの運営・評価</t>
  </si>
  <si>
    <t>概　論　Ⅲ</t>
  </si>
  <si>
    <t>・コーディネーターにかかわる仕組みと役割</t>
  </si>
  <si>
    <t>・青少年期を支える体験活動の理解</t>
  </si>
  <si>
    <t>・学習指導要領における体験活動の位置づけ</t>
  </si>
  <si>
    <t>・地域社会と自然体験活動の関わり
・地域との連携方法</t>
  </si>
  <si>
    <t>・多様な対象者に対する効果的な理解と対応方法
・グループ活動を通じた個人の理解方法
・スタッフ等に対する効果的な対応方法</t>
  </si>
  <si>
    <t>・安全管理体制づくり
・安全管理上の関係法規と保険</t>
  </si>
  <si>
    <t>・自然体験活動事業の企画(1)(2)
・自然体験活動事業の運営(1)(2)
・自然体験活動事業の評価(1)(2)</t>
  </si>
  <si>
    <t>科     目</t>
  </si>
  <si>
    <t>青少年教育における体験活動</t>
  </si>
  <si>
    <t>対象者理解</t>
  </si>
  <si>
    <t>認定試験</t>
  </si>
  <si>
    <t>概論Ⅰ</t>
  </si>
  <si>
    <t>概論Ⅱ</t>
  </si>
  <si>
    <t>概論Ⅲ</t>
  </si>
  <si>
    <t>・指導者認定制度の仕組み、リーダーの役割</t>
  </si>
  <si>
    <t>指導者認定制度の仕組み、リーダーの役割</t>
  </si>
  <si>
    <t>地域の自然体験活動の特色</t>
  </si>
  <si>
    <t>青少年教育</t>
  </si>
  <si>
    <t>・インストラクターにかかわる仕組みと役割</t>
  </si>
  <si>
    <t>インストラクターにかかわる仕組みと役割</t>
  </si>
  <si>
    <t>ガイダンス</t>
  </si>
  <si>
    <t>コーディネーターにかかわる仕組みと役割</t>
  </si>
  <si>
    <t>青少年期を支える体験活動の理解</t>
  </si>
  <si>
    <t>学校教育における体験活動</t>
  </si>
  <si>
    <t>学校教育</t>
  </si>
  <si>
    <t>学校教育における体験活動の意義</t>
  </si>
  <si>
    <t>自然体験活動の特質</t>
  </si>
  <si>
    <t>自然体験活動の意義と課題</t>
  </si>
  <si>
    <t>地域の自然環境、文化、歴史、産業</t>
  </si>
  <si>
    <t>地域社会と自然体験活動の関わり</t>
  </si>
  <si>
    <t>地域との連携方法</t>
  </si>
  <si>
    <t>対象者理解</t>
  </si>
  <si>
    <t xml:space="preserve">・対象者理解の方法 </t>
  </si>
  <si>
    <t>対象者理解の方法</t>
  </si>
  <si>
    <t>対象者への配慮と対応方法</t>
  </si>
  <si>
    <t>特別な配慮を要する対象者の理解と対応</t>
  </si>
  <si>
    <t>多様な対象者に対する効果的な理解と対応方法</t>
  </si>
  <si>
    <t>グループ活動を通じた個人の理解方法</t>
  </si>
  <si>
    <t>スタッフ等に対する効果的な対応方法</t>
  </si>
  <si>
    <t>自然体験活動の指導</t>
  </si>
  <si>
    <t>・指導者としての基本的な心構え</t>
  </si>
  <si>
    <t>指導者としての基本的な心構え</t>
  </si>
  <si>
    <t>指導</t>
  </si>
  <si>
    <t xml:space="preserve">自然体験活動の指導方法 </t>
  </si>
  <si>
    <t>自然体験活動の指導技術</t>
  </si>
  <si>
    <t>・自然体験活動事業の指導体制(1)(2)</t>
  </si>
  <si>
    <t>自然体験活動事業の指導体制(2)</t>
  </si>
  <si>
    <t>自然体験活動事業の指導体制(1)</t>
  </si>
  <si>
    <t>様々な自然体験活動の体験(2)</t>
  </si>
  <si>
    <t>様々な自然体験活動の体験(1)</t>
  </si>
  <si>
    <t>自然体験活動の基本的な技術</t>
  </si>
  <si>
    <t>自然体験活動の構成</t>
  </si>
  <si>
    <t>自然体験活動の専門的な技術の体験</t>
  </si>
  <si>
    <t>自然体験活動の専門的な技術の理解</t>
  </si>
  <si>
    <t>自然体験活動における基本的な安全管理</t>
  </si>
  <si>
    <t>応急処置</t>
  </si>
  <si>
    <t>安全管理の意義と方法</t>
  </si>
  <si>
    <t>活動場所とプログラムにおける安全管理</t>
  </si>
  <si>
    <t>安全管理体制づくり</t>
  </si>
  <si>
    <t>安全管理上の関係法規と保険</t>
  </si>
  <si>
    <t>自然体験活動におけるプログラムの企画(1)</t>
  </si>
  <si>
    <t>自然体験活動におけるプログラムの企画(2)</t>
  </si>
  <si>
    <t>自然体験活動におけるプログラムの企画(3)</t>
  </si>
  <si>
    <t>自然体験活動におけるプログラムの運営・評価</t>
  </si>
  <si>
    <t>自然体験活動の企画・運営</t>
  </si>
  <si>
    <t>自然体験活動事業の企画(1)</t>
  </si>
  <si>
    <t>自然体験活動事業の企画(2)</t>
  </si>
  <si>
    <t>自然体験活動事業の運営(1)</t>
  </si>
  <si>
    <t>自然体験活動事業の運営(2)</t>
  </si>
  <si>
    <t>自然体験活動事業の評価(1)</t>
  </si>
  <si>
    <t>自然体験活動事業の評価(2)</t>
  </si>
  <si>
    <t>学習指導要領における体験活動の位置づけ</t>
  </si>
  <si>
    <t>1.0</t>
  </si>
  <si>
    <t>様式１１</t>
  </si>
  <si>
    <t>　　　　自然体験活動指導者養成講習（概論）　履修表（受講票）</t>
  </si>
  <si>
    <t>青少年教育における体験活動の意義</t>
  </si>
  <si>
    <t>移行講習</t>
  </si>
  <si>
    <t>1.5</t>
  </si>
  <si>
    <t>主任講師（講習管理者）氏名／印</t>
  </si>
  <si>
    <t>㊞</t>
  </si>
  <si>
    <t>修了試験</t>
  </si>
  <si>
    <t>履修試験</t>
  </si>
  <si>
    <t>概論Ⅰ</t>
  </si>
  <si>
    <t>試験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</si>
</sst>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yyyy/m/d;@"/>
    <numFmt numFmtId="184" formatCode="[$-F800]dddd\,\ mmmm\ dd\,\ yyyy"/>
    <numFmt numFmtId="185" formatCode="#,##0.0_);[Red]\(#,##0.0\)"/>
    <numFmt numFmtId="186" formatCode="0.0_ "/>
  </numFmts>
  <fonts count="5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2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sz val="14"/>
      <color indexed="10"/>
      <name val="ＭＳ Ｐ明朝"/>
      <family val="1"/>
    </font>
    <font>
      <sz val="10"/>
      <name val="ＭＳ Ｐ明朝"/>
      <family val="1"/>
    </font>
    <font>
      <sz val="18"/>
      <name val="Osaka"/>
      <family val="3"/>
    </font>
    <font>
      <sz val="10"/>
      <name val="Osaka"/>
      <family val="3"/>
    </font>
    <font>
      <sz val="10.5"/>
      <name val="Century"/>
      <family val="1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55"/>
      <name val="Osaka"/>
      <family val="3"/>
    </font>
    <font>
      <sz val="9"/>
      <name val="MS UI Gothic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 tint="-0.24997000396251678"/>
      <name val="Osaka"/>
      <family val="3"/>
    </font>
    <font>
      <sz val="12"/>
      <color theme="0" tint="-0.3499799966812134"/>
      <name val="Osaka"/>
      <family val="3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2" fillId="0" borderId="0">
      <alignment vertical="center"/>
      <protection/>
    </xf>
    <xf numFmtId="0" fontId="6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35" borderId="0" xfId="0" applyFont="1" applyFill="1" applyAlignment="1">
      <alignment horizontal="left" vertical="center" wrapText="1"/>
    </xf>
    <xf numFmtId="0" fontId="14" fillId="35" borderId="0" xfId="0" applyFont="1" applyFill="1" applyAlignment="1">
      <alignment horizontal="center" vertical="center" wrapText="1"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Alignment="1">
      <alignment/>
    </xf>
    <xf numFmtId="0" fontId="14" fillId="0" borderId="11" xfId="0" applyFont="1" applyBorder="1" applyAlignment="1" applyProtection="1">
      <alignment vertical="center"/>
      <protection/>
    </xf>
    <xf numFmtId="0" fontId="14" fillId="36" borderId="0" xfId="0" applyFont="1" applyFill="1" applyAlignment="1">
      <alignment/>
    </xf>
    <xf numFmtId="0" fontId="14" fillId="37" borderId="0" xfId="0" applyFont="1" applyFill="1" applyAlignment="1">
      <alignment/>
    </xf>
    <xf numFmtId="0" fontId="14" fillId="38" borderId="0" xfId="0" applyFont="1" applyFill="1" applyAlignment="1">
      <alignment/>
    </xf>
    <xf numFmtId="0" fontId="14" fillId="39" borderId="0" xfId="0" applyFont="1" applyFill="1" applyAlignment="1">
      <alignment/>
    </xf>
    <xf numFmtId="0" fontId="14" fillId="40" borderId="0" xfId="0" applyFont="1" applyFill="1" applyAlignment="1">
      <alignment/>
    </xf>
    <xf numFmtId="0" fontId="14" fillId="41" borderId="0" xfId="0" applyFont="1" applyFill="1" applyAlignment="1">
      <alignment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33" borderId="12" xfId="0" applyFill="1" applyBorder="1" applyAlignment="1">
      <alignment horizontal="center" vertical="center" wrapText="1"/>
    </xf>
    <xf numFmtId="0" fontId="17" fillId="0" borderId="0" xfId="0" applyFont="1" applyAlignment="1">
      <alignment horizontal="justify"/>
    </xf>
    <xf numFmtId="0" fontId="14" fillId="0" borderId="10" xfId="0" applyFont="1" applyBorder="1" applyAlignment="1">
      <alignment wrapText="1"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42" borderId="0" xfId="0" applyFont="1" applyFill="1" applyAlignment="1">
      <alignment/>
    </xf>
    <xf numFmtId="0" fontId="14" fillId="43" borderId="0" xfId="0" applyFont="1" applyFill="1" applyAlignment="1">
      <alignment/>
    </xf>
    <xf numFmtId="0" fontId="14" fillId="25" borderId="0" xfId="0" applyFont="1" applyFill="1" applyAlignment="1">
      <alignment/>
    </xf>
    <xf numFmtId="0" fontId="14" fillId="21" borderId="0" xfId="0" applyFont="1" applyFill="1" applyAlignment="1">
      <alignment/>
    </xf>
    <xf numFmtId="0" fontId="14" fillId="21" borderId="0" xfId="0" applyFont="1" applyFill="1" applyAlignment="1">
      <alignment horizontal="center"/>
    </xf>
    <xf numFmtId="0" fontId="14" fillId="25" borderId="0" xfId="0" applyFont="1" applyFill="1" applyAlignment="1">
      <alignment horizontal="center"/>
    </xf>
    <xf numFmtId="0" fontId="14" fillId="0" borderId="0" xfId="0" applyFont="1" applyFill="1" applyAlignment="1" applyProtection="1">
      <alignment horizontal="center" vertical="center"/>
      <protection/>
    </xf>
    <xf numFmtId="0" fontId="14" fillId="0" borderId="0" xfId="61" applyFont="1" applyFill="1" applyAlignment="1" applyProtection="1">
      <alignment horizontal="center" vertical="center"/>
      <protection/>
    </xf>
    <xf numFmtId="49" fontId="14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right" vertical="center"/>
    </xf>
    <xf numFmtId="0" fontId="0" fillId="44" borderId="10" xfId="0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/>
    </xf>
    <xf numFmtId="0" fontId="57" fillId="0" borderId="13" xfId="0" applyFont="1" applyBorder="1" applyAlignment="1" applyProtection="1">
      <alignment horizontal="right" vertical="center"/>
      <protection/>
    </xf>
    <xf numFmtId="0" fontId="58" fillId="0" borderId="13" xfId="0" applyFont="1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 vertical="center"/>
      <protection locked="0"/>
    </xf>
    <xf numFmtId="0" fontId="0" fillId="44" borderId="10" xfId="0" applyFill="1" applyBorder="1" applyAlignment="1">
      <alignment horizontal="center" vertical="center" shrinkToFit="1"/>
    </xf>
    <xf numFmtId="0" fontId="16" fillId="34" borderId="1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14" fontId="0" fillId="33" borderId="12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15" fillId="4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15" fillId="44" borderId="10" xfId="0" applyFont="1" applyFill="1" applyBorder="1" applyAlignment="1">
      <alignment horizontal="center" vertical="center" wrapText="1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0" fillId="45" borderId="10" xfId="0" applyFill="1" applyBorder="1" applyAlignment="1">
      <alignment horizontal="center" vertical="center" wrapText="1"/>
    </xf>
    <xf numFmtId="0" fontId="0" fillId="44" borderId="12" xfId="0" applyFill="1" applyBorder="1" applyAlignment="1">
      <alignment horizontal="center" vertical="center" wrapText="1"/>
    </xf>
    <xf numFmtId="0" fontId="0" fillId="44" borderId="13" xfId="0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40" borderId="15" xfId="0" applyFont="1" applyFill="1" applyBorder="1" applyAlignment="1" applyProtection="1">
      <alignment horizontal="center" vertical="center" shrinkToFit="1"/>
      <protection locked="0"/>
    </xf>
    <xf numFmtId="0" fontId="15" fillId="40" borderId="16" xfId="0" applyFont="1" applyFill="1" applyBorder="1" applyAlignment="1" applyProtection="1">
      <alignment horizontal="center" vertical="center" shrinkToFit="1"/>
      <protection locked="0"/>
    </xf>
    <xf numFmtId="0" fontId="15" fillId="40" borderId="17" xfId="0" applyFont="1" applyFill="1" applyBorder="1" applyAlignment="1" applyProtection="1">
      <alignment horizontal="center" vertical="center" shrinkToFit="1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44" borderId="12" xfId="0" applyFont="1" applyFill="1" applyBorder="1" applyAlignment="1">
      <alignment horizontal="center" vertical="center"/>
    </xf>
    <xf numFmtId="0" fontId="0" fillId="44" borderId="10" xfId="0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1</xdr:row>
      <xdr:rowOff>38100</xdr:rowOff>
    </xdr:from>
    <xdr:to>
      <xdr:col>17</xdr:col>
      <xdr:colOff>152400</xdr:colOff>
      <xdr:row>7</xdr:row>
      <xdr:rowOff>219075</xdr:rowOff>
    </xdr:to>
    <xdr:grpSp>
      <xdr:nvGrpSpPr>
        <xdr:cNvPr id="1" name="グループ化 4"/>
        <xdr:cNvGrpSpPr>
          <a:grpSpLocks/>
        </xdr:cNvGrpSpPr>
      </xdr:nvGrpSpPr>
      <xdr:grpSpPr>
        <a:xfrm>
          <a:off x="14039850" y="333375"/>
          <a:ext cx="4257675" cy="1828800"/>
          <a:chOff x="12863286" y="235857"/>
          <a:chExt cx="3419928" cy="1805214"/>
        </a:xfrm>
        <a:solidFill>
          <a:srgbClr val="FFFFFF"/>
        </a:solidFill>
      </xdr:grpSpPr>
      <xdr:sp>
        <xdr:nvSpPr>
          <xdr:cNvPr id="2" name="角丸四角形吹き出し 2"/>
          <xdr:cNvSpPr>
            <a:spLocks/>
          </xdr:cNvSpPr>
        </xdr:nvSpPr>
        <xdr:spPr>
          <a:xfrm>
            <a:off x="12863286" y="235857"/>
            <a:ext cx="3419928" cy="1805214"/>
          </a:xfrm>
          <a:prstGeom prst="wedgeRoundRectCallout">
            <a:avLst>
              <a:gd name="adj1" fmla="val -70398"/>
              <a:gd name="adj2" fmla="val -10009"/>
            </a:avLst>
          </a:prstGeom>
          <a:solidFill>
            <a:srgbClr val="FFFFFF"/>
          </a:solidFill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13006923" y="395618"/>
            <a:ext cx="3200198" cy="15326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トップダウンリスト（データの入力規則）を利用した項目です。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マス目にカーソルを合わせリストを表示し項目を選択、もしくは正しい名称を入力して下さい。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showZeros="0" tabSelected="1" view="pageBreakPreview" zoomScale="70" zoomScaleSheetLayoutView="70" zoomScalePageLayoutView="0" workbookViewId="0" topLeftCell="A1">
      <selection activeCell="F12" sqref="F12"/>
    </sheetView>
  </sheetViews>
  <sheetFormatPr defaultColWidth="8.796875" defaultRowHeight="15"/>
  <cols>
    <col min="1" max="1" width="5.19921875" style="3" bestFit="1" customWidth="1"/>
    <col min="2" max="2" width="9.19921875" style="3" customWidth="1"/>
    <col min="3" max="3" width="16" style="3" customWidth="1"/>
    <col min="4" max="4" width="11" style="21" customWidth="1"/>
    <col min="5" max="5" width="6.3984375" style="4" bestFit="1" customWidth="1"/>
    <col min="6" max="6" width="32.19921875" style="4" customWidth="1"/>
    <col min="7" max="7" width="12.5" style="4" customWidth="1"/>
    <col min="8" max="8" width="12.8984375" style="4" customWidth="1"/>
    <col min="9" max="9" width="15.59765625" style="4" customWidth="1"/>
    <col min="10" max="10" width="10.8984375" style="4" customWidth="1"/>
    <col min="11" max="11" width="4.59765625" style="4" customWidth="1"/>
    <col min="12" max="16384" width="9" style="4" customWidth="1"/>
  </cols>
  <sheetData>
    <row r="1" spans="4:11" s="1" customFormat="1" ht="23.25" customHeight="1">
      <c r="D1" s="20"/>
      <c r="E1" s="2"/>
      <c r="K1" s="38" t="s">
        <v>116</v>
      </c>
    </row>
    <row r="2" spans="1:11" ht="17.25">
      <c r="A2" s="68" t="s">
        <v>8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26.25" customHeight="1">
      <c r="A3" s="69" t="s">
        <v>117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7:8" ht="9.75" customHeight="1" thickBot="1">
      <c r="G4" s="8"/>
      <c r="H4" s="8"/>
    </row>
    <row r="5" spans="2:11" ht="33" customHeight="1" thickBot="1">
      <c r="B5" s="56" t="s">
        <v>15</v>
      </c>
      <c r="C5" s="56"/>
      <c r="D5" s="59"/>
      <c r="E5" s="60"/>
      <c r="F5" s="61"/>
      <c r="G5" s="56" t="s">
        <v>9</v>
      </c>
      <c r="H5" s="75"/>
      <c r="I5" s="70" t="s">
        <v>125</v>
      </c>
      <c r="J5" s="71"/>
      <c r="K5" s="72"/>
    </row>
    <row r="6" spans="2:11" ht="33" customHeight="1">
      <c r="B6" s="58" t="s">
        <v>24</v>
      </c>
      <c r="C6" s="58"/>
      <c r="D6" s="62"/>
      <c r="E6" s="63"/>
      <c r="F6" s="64"/>
      <c r="G6" s="56" t="s">
        <v>0</v>
      </c>
      <c r="H6" s="56"/>
      <c r="I6" s="73"/>
      <c r="J6" s="73"/>
      <c r="K6" s="74"/>
    </row>
    <row r="7" ht="10.5" customHeight="1"/>
    <row r="8" spans="1:11" ht="30" customHeight="1">
      <c r="A8" s="7" t="s">
        <v>1</v>
      </c>
      <c r="B8" s="57" t="s">
        <v>7</v>
      </c>
      <c r="C8" s="57"/>
      <c r="D8" s="57"/>
      <c r="E8" s="7" t="s">
        <v>2</v>
      </c>
      <c r="F8" s="7" t="s">
        <v>6</v>
      </c>
      <c r="G8" s="52" t="s">
        <v>3</v>
      </c>
      <c r="H8" s="53"/>
      <c r="I8" s="7" t="s">
        <v>4</v>
      </c>
      <c r="J8" s="46" t="s">
        <v>121</v>
      </c>
      <c r="K8" s="47"/>
    </row>
    <row r="9" spans="1:11" ht="23.25" customHeight="1">
      <c r="A9" s="7" t="s">
        <v>5</v>
      </c>
      <c r="B9" s="23" t="s">
        <v>20</v>
      </c>
      <c r="C9" s="65" t="s">
        <v>25</v>
      </c>
      <c r="D9" s="65"/>
      <c r="E9" s="5">
        <v>1.5</v>
      </c>
      <c r="F9" s="5" t="s">
        <v>12</v>
      </c>
      <c r="G9" s="54" t="s">
        <v>13</v>
      </c>
      <c r="H9" s="55"/>
      <c r="I9" s="6">
        <v>41193</v>
      </c>
      <c r="J9" s="48"/>
      <c r="K9" s="49"/>
    </row>
    <row r="10" spans="1:11" ht="56.25" customHeight="1">
      <c r="A10" s="7">
        <f>IF(I5="","",VLOOKUP(I5,項目数,2,FALSE))</f>
        <v>1</v>
      </c>
      <c r="B10" s="45" t="str">
        <f>IF(I5="","",VLOOKUP(I5,概論カリキュラム名,2,FALSE))</f>
        <v>ガイダンス</v>
      </c>
      <c r="C10" s="76" t="str">
        <f>IF(I5="","",VLOOKUP(I5,概論題目,2,FALSE))</f>
        <v>指導者認定制度の仕組み、リーダーの役割</v>
      </c>
      <c r="D10" s="76"/>
      <c r="E10" s="39" t="str">
        <f>IF(I5="","",VLOOKUP(I5,概論時間数,2,FALSE))</f>
        <v>1.0</v>
      </c>
      <c r="F10" s="22"/>
      <c r="G10" s="50"/>
      <c r="H10" s="51"/>
      <c r="I10" s="22"/>
      <c r="J10" s="40"/>
      <c r="K10" s="42" t="s">
        <v>122</v>
      </c>
    </row>
    <row r="11" spans="1:11" ht="56.25" customHeight="1">
      <c r="A11" s="7">
        <f>IF(I5="","",VLOOKUP(I5,項目数,3,FALSE))</f>
        <v>2</v>
      </c>
      <c r="B11" s="45" t="str">
        <f>IF(I5="","",VLOOKUP(I5,概論カリキュラム名,3,FALSE))</f>
        <v>青少年教育</v>
      </c>
      <c r="C11" s="66" t="str">
        <f>IF(I5="","",VLOOKUP(I5,概論題目,3,FALSE))</f>
        <v>青少年教育における体験活動の意義</v>
      </c>
      <c r="D11" s="67"/>
      <c r="E11" s="39">
        <f>IF(I5="","",VLOOKUP(I5,概論時間数,3,FALSE))</f>
        <v>1.5</v>
      </c>
      <c r="F11" s="22"/>
      <c r="G11" s="50"/>
      <c r="H11" s="51"/>
      <c r="I11" s="22"/>
      <c r="J11" s="40"/>
      <c r="K11" s="42" t="s">
        <v>122</v>
      </c>
    </row>
    <row r="12" spans="1:11" ht="56.25" customHeight="1">
      <c r="A12" s="7">
        <f>IF(I5="","",VLOOKUP(I5,項目数,4,FALSE))</f>
        <v>3</v>
      </c>
      <c r="B12" s="45" t="str">
        <f>IF(I5="","",VLOOKUP(I5,概論カリキュラム名,4,FALSE))</f>
        <v>特質</v>
      </c>
      <c r="C12" s="66" t="str">
        <f>IF(I5="","",VLOOKUP(I5,概論題目,4,FALSE))</f>
        <v>地域の自然体験活動の特色</v>
      </c>
      <c r="D12" s="67"/>
      <c r="E12" s="39">
        <f>IF(I5="","",VLOOKUP(I5,概論時間数,4,FALSE))</f>
        <v>1.5</v>
      </c>
      <c r="F12" s="22"/>
      <c r="G12" s="50"/>
      <c r="H12" s="51"/>
      <c r="I12" s="22"/>
      <c r="J12" s="40"/>
      <c r="K12" s="43" t="str">
        <f>IF(B12="―","","㊞")</f>
        <v>㊞</v>
      </c>
    </row>
    <row r="13" spans="1:11" ht="56.25" customHeight="1">
      <c r="A13" s="7">
        <f>IF(I5="","",VLOOKUP(I5,項目数,5,FALSE))</f>
        <v>4</v>
      </c>
      <c r="B13" s="45" t="str">
        <f>IF(I5="","",VLOOKUP(I5,概論カリキュラム名,5,FALSE))</f>
        <v>特質</v>
      </c>
      <c r="C13" s="66" t="str">
        <f>IF(I5="","",VLOOKUP(I5,概論題目,5,FALSE))</f>
        <v>自然体験活動の意義と課題</v>
      </c>
      <c r="D13" s="67"/>
      <c r="E13" s="39">
        <f>IF(I5="","",VLOOKUP(I5,概論時間数,5,FALSE))</f>
        <v>1.5</v>
      </c>
      <c r="F13" s="22"/>
      <c r="G13" s="50"/>
      <c r="H13" s="51"/>
      <c r="I13" s="22"/>
      <c r="J13" s="40"/>
      <c r="K13" s="43" t="str">
        <f aca="true" t="shared" si="0" ref="K13:K20">IF(B13="―","","㊞")</f>
        <v>㊞</v>
      </c>
    </row>
    <row r="14" spans="1:11" ht="56.25" customHeight="1">
      <c r="A14" s="7">
        <f>IF(I5="","",VLOOKUP(I5,項目数,6,FALSE))</f>
        <v>5</v>
      </c>
      <c r="B14" s="45" t="str">
        <f>IF(I5="","",VLOOKUP(I5,概論カリキュラム名,6,FALSE))</f>
        <v>対象者理解</v>
      </c>
      <c r="C14" s="66" t="str">
        <f>IF(I5="","",VLOOKUP(I5,概論題目,6,FALSE))</f>
        <v>対象者理解の方法</v>
      </c>
      <c r="D14" s="67"/>
      <c r="E14" s="39">
        <f>IF(I5="","",VLOOKUP(I5,概論時間数,6,FALSE))</f>
        <v>1.5</v>
      </c>
      <c r="F14" s="22"/>
      <c r="G14" s="50"/>
      <c r="H14" s="51"/>
      <c r="I14" s="22"/>
      <c r="J14" s="40"/>
      <c r="K14" s="43" t="str">
        <f t="shared" si="0"/>
        <v>㊞</v>
      </c>
    </row>
    <row r="15" spans="1:11" ht="56.25" customHeight="1">
      <c r="A15" s="7">
        <f>IF(I5="","",VLOOKUP(I5,項目数,7,FALSE))</f>
        <v>6</v>
      </c>
      <c r="B15" s="45" t="str">
        <f>IF(I5="","",VLOOKUP(I5,概論カリキュラム名,7,FALSE))</f>
        <v>指導</v>
      </c>
      <c r="C15" s="66" t="str">
        <f>IF(I5="","",VLOOKUP(I5,概論題目,7,FALSE))</f>
        <v>指導者としての基本的な心構え</v>
      </c>
      <c r="D15" s="67"/>
      <c r="E15" s="39">
        <f>IF(I5="","",VLOOKUP(I5,概論時間数,7,FALSE))</f>
        <v>1.5</v>
      </c>
      <c r="F15" s="22"/>
      <c r="G15" s="50"/>
      <c r="H15" s="51"/>
      <c r="I15" s="22"/>
      <c r="J15" s="40"/>
      <c r="K15" s="43" t="str">
        <f t="shared" si="0"/>
        <v>㊞</v>
      </c>
    </row>
    <row r="16" spans="1:11" ht="56.25" customHeight="1">
      <c r="A16" s="7">
        <f>IF(I5="","",VLOOKUP(I5,項目数,8,FALSE))</f>
        <v>7</v>
      </c>
      <c r="B16" s="45" t="str">
        <f>IF(I5="","",VLOOKUP(I5,概論カリキュラム名,8,FALSE))</f>
        <v>技術</v>
      </c>
      <c r="C16" s="66" t="str">
        <f>IF(I5="","",VLOOKUP(I5,概論題目,8,FALSE))</f>
        <v>様々な自然体験活動の体験(1)</v>
      </c>
      <c r="D16" s="67"/>
      <c r="E16" s="39">
        <f>IF(I5="","",VLOOKUP(I5,概論時間数,8,FALSE))</f>
        <v>1.5</v>
      </c>
      <c r="F16" s="22"/>
      <c r="G16" s="50"/>
      <c r="H16" s="51"/>
      <c r="I16" s="22"/>
      <c r="J16" s="40"/>
      <c r="K16" s="43" t="str">
        <f t="shared" si="0"/>
        <v>㊞</v>
      </c>
    </row>
    <row r="17" spans="1:11" ht="56.25" customHeight="1">
      <c r="A17" s="7">
        <f>IF(I5="","",VLOOKUP(I5,項目数,9,FALSE))</f>
        <v>8</v>
      </c>
      <c r="B17" s="45" t="str">
        <f>IF(I5="","",VLOOKUP(I5,概論カリキュラム名,9,FALSE))</f>
        <v>技術</v>
      </c>
      <c r="C17" s="66" t="str">
        <f>IF(I5="","",VLOOKUP(I5,概論題目,9,FALSE))</f>
        <v>様々な自然体験活動の体験(2)</v>
      </c>
      <c r="D17" s="67"/>
      <c r="E17" s="39">
        <f>IF(I5="","",VLOOKUP(I5,概論時間数,9,FALSE))</f>
        <v>1.5</v>
      </c>
      <c r="F17" s="22"/>
      <c r="G17" s="50"/>
      <c r="H17" s="51"/>
      <c r="I17" s="22"/>
      <c r="J17" s="40"/>
      <c r="K17" s="43" t="str">
        <f>IF(B17="―","","㊞")</f>
        <v>㊞</v>
      </c>
    </row>
    <row r="18" spans="1:11" ht="56.25" customHeight="1">
      <c r="A18" s="7">
        <f>IF(I5="","",VLOOKUP(I5,項目数,10,FALSE))</f>
        <v>9</v>
      </c>
      <c r="B18" s="45" t="str">
        <f>IF(I5="","",VLOOKUP(I5,概論カリキュラム名,10,FALSE))</f>
        <v>技術</v>
      </c>
      <c r="C18" s="66" t="str">
        <f>IF(I5="","",VLOOKUP(I5,概論題目,10,FALSE))</f>
        <v>自然体験活動の基本的な技術</v>
      </c>
      <c r="D18" s="67"/>
      <c r="E18" s="39">
        <f>IF(I5="","",VLOOKUP(I5,概論時間数,10,FALSE))</f>
        <v>1.5</v>
      </c>
      <c r="F18" s="22"/>
      <c r="G18" s="50"/>
      <c r="H18" s="51"/>
      <c r="I18" s="22"/>
      <c r="J18" s="40"/>
      <c r="K18" s="43" t="str">
        <f t="shared" si="0"/>
        <v>㊞</v>
      </c>
    </row>
    <row r="19" spans="1:11" ht="56.25" customHeight="1">
      <c r="A19" s="7">
        <f>IF(I5="","",VLOOKUP(I5,項目数,11,FALSE))</f>
        <v>10</v>
      </c>
      <c r="B19" s="45" t="str">
        <f>IF(I5="","",VLOOKUP(I5,概論カリキュラム名,11,FALSE))</f>
        <v>技術</v>
      </c>
      <c r="C19" s="66" t="str">
        <f>IF(I5="","",VLOOKUP(I5,概論題目,11,FALSE))</f>
        <v>自然体験活動の構成</v>
      </c>
      <c r="D19" s="67"/>
      <c r="E19" s="39">
        <f>IF(I5="","",VLOOKUP(I5,概論時間数,11,FALSE))</f>
        <v>1.5</v>
      </c>
      <c r="F19" s="22"/>
      <c r="G19" s="50"/>
      <c r="H19" s="51"/>
      <c r="I19" s="22"/>
      <c r="J19" s="40"/>
      <c r="K19" s="43" t="str">
        <f t="shared" si="0"/>
        <v>㊞</v>
      </c>
    </row>
    <row r="20" spans="1:11" ht="56.25" customHeight="1">
      <c r="A20" s="7">
        <f>IF(I5="","",VLOOKUP(I5,項目数,12,FALSE))</f>
        <v>11</v>
      </c>
      <c r="B20" s="45" t="str">
        <f>IF(I5="","",VLOOKUP(I5,概論カリキュラム名,12,FALSE))</f>
        <v>安全管理</v>
      </c>
      <c r="C20" s="66" t="str">
        <f>IF(I5="","",VLOOKUP(I5,概論題目,12,FALSE))</f>
        <v>自然体験活動における基本的な安全管理</v>
      </c>
      <c r="D20" s="67"/>
      <c r="E20" s="39">
        <f>IF(I5="","",VLOOKUP(I5,概論時間数,12,FALSE))</f>
        <v>1.5</v>
      </c>
      <c r="F20" s="22"/>
      <c r="G20" s="50"/>
      <c r="H20" s="51"/>
      <c r="I20" s="22"/>
      <c r="J20" s="40"/>
      <c r="K20" s="43" t="str">
        <f t="shared" si="0"/>
        <v>㊞</v>
      </c>
    </row>
    <row r="21" spans="1:11" ht="56.25" customHeight="1">
      <c r="A21" s="7">
        <f>IF(I5="","",VLOOKUP(I5,項目数,13,FALSE))</f>
        <v>12</v>
      </c>
      <c r="B21" s="45" t="str">
        <f>IF(I5="","",VLOOKUP(I5,概論カリキュラム名,13,FALSE))</f>
        <v>安全管理</v>
      </c>
      <c r="C21" s="66" t="str">
        <f>IF(I5="","",VLOOKUP(I5,概論題目,13,FALSE))</f>
        <v>応急処置</v>
      </c>
      <c r="D21" s="67"/>
      <c r="E21" s="39">
        <f>IF(I5="","",VLOOKUP(I5,概論時間数,13,FALSE))</f>
        <v>1.5</v>
      </c>
      <c r="F21" s="22"/>
      <c r="G21" s="50"/>
      <c r="H21" s="51"/>
      <c r="I21" s="22"/>
      <c r="J21" s="40"/>
      <c r="K21" s="43" t="str">
        <f>IF(B21="―","","㊞")</f>
        <v>㊞</v>
      </c>
    </row>
    <row r="22" spans="1:11" ht="56.25" customHeight="1">
      <c r="A22" s="7">
        <f>IF(I5="","",VLOOKUP(I5,項目数,14,FALSE))</f>
        <v>13</v>
      </c>
      <c r="B22" s="45" t="str">
        <f>IF(I5="","",VLOOKUP(I5,概論カリキュラム名,14,FALSE))</f>
        <v>試験</v>
      </c>
      <c r="C22" s="66" t="str">
        <f>IF(I5="","",VLOOKUP(I5,概論題目,14,FALSE))</f>
        <v>修了試験</v>
      </c>
      <c r="D22" s="67"/>
      <c r="E22" s="39">
        <f>IF(I5="","",VLOOKUP(I5,概論時間数,14,FALSE))</f>
        <v>0.5</v>
      </c>
      <c r="F22" s="22"/>
      <c r="G22" s="50"/>
      <c r="H22" s="51"/>
      <c r="I22" s="22"/>
      <c r="J22" s="44"/>
      <c r="K22" s="43" t="str">
        <f>IF(B22="―","",(IF(B22="認定試験","合格確認印","㊞")))</f>
        <v>㊞</v>
      </c>
    </row>
    <row r="23" spans="1:11" ht="56.25" customHeight="1">
      <c r="A23" s="7" t="str">
        <f>IF(I5="","",VLOOKUP(I5,項目数,15,FALSE))</f>
        <v>―</v>
      </c>
      <c r="B23" s="45" t="str">
        <f>IF(I5="","",VLOOKUP(I5,概論カリキュラム名,15,FALSE))</f>
        <v>―</v>
      </c>
      <c r="C23" s="66" t="str">
        <f>IF(I5="","",VLOOKUP(I5,概論題目,15,FALSE))</f>
        <v>―</v>
      </c>
      <c r="D23" s="67"/>
      <c r="E23" s="39" t="str">
        <f>IF(I5="","",VLOOKUP(I5,概論時間数,15,FALSE))</f>
        <v>―</v>
      </c>
      <c r="F23" s="22"/>
      <c r="G23" s="50"/>
      <c r="H23" s="51"/>
      <c r="I23" s="22"/>
      <c r="J23" s="40"/>
      <c r="K23" s="43">
        <f>IF(B23="―","","㊞")</f>
      </c>
    </row>
    <row r="24" spans="1:11" ht="56.25" customHeight="1">
      <c r="A24" s="7" t="str">
        <f>IF(I5="","",VLOOKUP(I5,項目数,16,FALSE))</f>
        <v>―</v>
      </c>
      <c r="B24" s="45" t="str">
        <f>IF(I5="","",VLOOKUP(I5,概論カリキュラム名,16,FALSE))</f>
        <v>―</v>
      </c>
      <c r="C24" s="66" t="str">
        <f>IF(I5="","",VLOOKUP(I5,概論題目,16,FALSE))</f>
        <v>―</v>
      </c>
      <c r="D24" s="67"/>
      <c r="E24" s="39" t="str">
        <f>IF(I5="","",VLOOKUP(I5,概論時間数,16,FALSE))</f>
        <v>―</v>
      </c>
      <c r="F24" s="22"/>
      <c r="G24" s="50"/>
      <c r="H24" s="51"/>
      <c r="I24" s="22"/>
      <c r="J24" s="40"/>
      <c r="K24" s="43">
        <f>IF(B24="―","","㊞")</f>
      </c>
    </row>
    <row r="25" spans="1:11" ht="56.25" customHeight="1">
      <c r="A25" s="7" t="str">
        <f>IF(I5="","",VLOOKUP(I5,項目数,17,FALSE))</f>
        <v>―</v>
      </c>
      <c r="B25" s="45" t="str">
        <f>IF(I5="","",VLOOKUP(I5,概論カリキュラム名,17,FALSE))</f>
        <v>―</v>
      </c>
      <c r="C25" s="66" t="str">
        <f>IF(I5="","",VLOOKUP(I5,概論題目,17,FALSE))</f>
        <v>―</v>
      </c>
      <c r="D25" s="67"/>
      <c r="E25" s="39" t="str">
        <f>IF(I5="","",VLOOKUP(I5,概論時間数,17,FALSE))</f>
        <v>―</v>
      </c>
      <c r="F25" s="22"/>
      <c r="G25" s="50"/>
      <c r="H25" s="51"/>
      <c r="I25" s="22"/>
      <c r="J25" s="44"/>
      <c r="K25" s="43">
        <f>IF(B25="―","",(IF(B25="認定試験","合格確認印","㊞")))</f>
      </c>
    </row>
    <row r="26" spans="1:19" ht="56.25" customHeight="1">
      <c r="A26" s="7" t="str">
        <f>IF(I5="","",VLOOKUP(I5,項目数,18,FALSE))</f>
        <v>―</v>
      </c>
      <c r="B26" s="45" t="str">
        <f>IF(I5="","",VLOOKUP(I5,概論カリキュラム名,18,FALSE))</f>
        <v>―</v>
      </c>
      <c r="C26" s="66" t="str">
        <f>IF(I5="","",VLOOKUP(I5,概論題目,18,FALSE))</f>
        <v>―</v>
      </c>
      <c r="D26" s="67"/>
      <c r="E26" s="39" t="str">
        <f>IF(I5="","",VLOOKUP(I5,概論時間数,18,FALSE))</f>
        <v>―</v>
      </c>
      <c r="F26" s="22"/>
      <c r="G26" s="50"/>
      <c r="H26" s="51"/>
      <c r="I26" s="22"/>
      <c r="J26" s="40"/>
      <c r="K26" s="43">
        <f>IF(B26="―","","㊞")</f>
      </c>
      <c r="M26" s="24"/>
      <c r="N26"/>
      <c r="O26"/>
      <c r="P26"/>
      <c r="Q26"/>
      <c r="R26"/>
      <c r="S26"/>
    </row>
    <row r="27" spans="1:11" ht="56.25" customHeight="1">
      <c r="A27" s="7" t="str">
        <f>IF(I5="","",VLOOKUP(I5,項目数,19,FALSE))</f>
        <v>―</v>
      </c>
      <c r="B27" s="45" t="str">
        <f>IF(I5="","",VLOOKUP(I5,概論カリキュラム名,19,FALSE))</f>
        <v>―</v>
      </c>
      <c r="C27" s="66" t="str">
        <f>IF(I5="","",VLOOKUP(I5,概論題目,19,FALSE))</f>
        <v>―</v>
      </c>
      <c r="D27" s="67"/>
      <c r="E27" s="39" t="str">
        <f>IF(I5="","",VLOOKUP(I5,概論時間数,19,FALSE))</f>
        <v>―</v>
      </c>
      <c r="F27" s="22"/>
      <c r="G27" s="50"/>
      <c r="H27" s="51"/>
      <c r="I27" s="22"/>
      <c r="J27" s="40"/>
      <c r="K27" s="43">
        <f>IF(B27="―","","㊞")</f>
      </c>
    </row>
    <row r="28" spans="1:11" ht="56.25" customHeight="1">
      <c r="A28" s="7" t="str">
        <f>IF(I5="","",VLOOKUP(I5,概論項目数,20,FALSE))</f>
        <v>―</v>
      </c>
      <c r="B28" s="45" t="str">
        <f>IF(I5="","",VLOOKUP(I5,概論カリキュラム名,20,FALSE))</f>
        <v>―</v>
      </c>
      <c r="C28" s="76" t="str">
        <f>IF(I5="","",VLOOKUP(I5,概論題目,20,FALSE))</f>
        <v>―</v>
      </c>
      <c r="D28" s="76"/>
      <c r="E28" s="39" t="str">
        <f>IF(I5="","",VLOOKUP(I5,概論時間数,20,FALSE))</f>
        <v>―</v>
      </c>
      <c r="F28" s="22"/>
      <c r="G28" s="50"/>
      <c r="H28" s="51"/>
      <c r="I28" s="22"/>
      <c r="J28" s="40"/>
      <c r="K28" s="43">
        <f>IF(B28="―","",(IF(B28="認定試験","合格確認印","㊞")))</f>
      </c>
    </row>
  </sheetData>
  <sheetProtection sheet="1" selectLockedCells="1"/>
  <mergeCells count="54">
    <mergeCell ref="G6:H6"/>
    <mergeCell ref="C28:D28"/>
    <mergeCell ref="G28:H28"/>
    <mergeCell ref="C10:D10"/>
    <mergeCell ref="C22:D22"/>
    <mergeCell ref="C27:D27"/>
    <mergeCell ref="C26:D26"/>
    <mergeCell ref="C15:D15"/>
    <mergeCell ref="C17:D17"/>
    <mergeCell ref="C16:D16"/>
    <mergeCell ref="A2:K2"/>
    <mergeCell ref="A3:K3"/>
    <mergeCell ref="I5:K5"/>
    <mergeCell ref="I6:K6"/>
    <mergeCell ref="G5:H5"/>
    <mergeCell ref="C25:D25"/>
    <mergeCell ref="C24:D24"/>
    <mergeCell ref="C23:D23"/>
    <mergeCell ref="C18:D18"/>
    <mergeCell ref="C21:D21"/>
    <mergeCell ref="C20:D20"/>
    <mergeCell ref="C19:D19"/>
    <mergeCell ref="C14:D14"/>
    <mergeCell ref="C13:D13"/>
    <mergeCell ref="C12:D12"/>
    <mergeCell ref="C11:D11"/>
    <mergeCell ref="B5:C5"/>
    <mergeCell ref="B8:D8"/>
    <mergeCell ref="B6:C6"/>
    <mergeCell ref="D5:F5"/>
    <mergeCell ref="D6:F6"/>
    <mergeCell ref="C9:D9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J8:K8"/>
    <mergeCell ref="J9:K9"/>
    <mergeCell ref="G26:H26"/>
    <mergeCell ref="G27:H27"/>
    <mergeCell ref="G20:H20"/>
    <mergeCell ref="G21:H21"/>
    <mergeCell ref="G22:H22"/>
    <mergeCell ref="G23:H23"/>
    <mergeCell ref="G24:H24"/>
    <mergeCell ref="G25:H25"/>
  </mergeCells>
  <dataValidations count="1">
    <dataValidation type="list" allowBlank="1" showInputMessage="1" showErrorMessage="1" sqref="I5:K5">
      <formula1>"概論Ⅰ,概論Ⅱ,概論Ⅲ,移行講習"</formula1>
    </dataValidation>
  </dataValidations>
  <printOptions/>
  <pageMargins left="0.7" right="0.7" top="0.75" bottom="0.75" header="0.3" footer="0.3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zoomScale="130" zoomScaleNormal="130" zoomScaleSheetLayoutView="50" zoomScalePageLayoutView="0" workbookViewId="0" topLeftCell="H1">
      <selection activeCell="L7" sqref="L7"/>
    </sheetView>
  </sheetViews>
  <sheetFormatPr defaultColWidth="8.59765625" defaultRowHeight="15"/>
  <cols>
    <col min="1" max="1" width="8.59765625" style="12" customWidth="1"/>
    <col min="2" max="2" width="10.3984375" style="12" customWidth="1"/>
    <col min="3" max="16384" width="8.59765625" style="12" customWidth="1"/>
  </cols>
  <sheetData>
    <row r="1" spans="1:20" ht="12">
      <c r="A1" s="11" t="s">
        <v>16</v>
      </c>
      <c r="B1" s="35"/>
      <c r="C1" s="35"/>
      <c r="D1" s="35"/>
      <c r="E1" s="35"/>
      <c r="F1" s="35"/>
      <c r="G1" s="35"/>
      <c r="H1" s="35"/>
      <c r="I1" s="35"/>
      <c r="J1" s="36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12">
      <c r="A2" s="13" t="s">
        <v>54</v>
      </c>
      <c r="B2" s="28">
        <v>1</v>
      </c>
      <c r="C2" s="28">
        <v>2</v>
      </c>
      <c r="D2" s="28">
        <v>3</v>
      </c>
      <c r="E2" s="28">
        <v>4</v>
      </c>
      <c r="F2" s="28">
        <v>5</v>
      </c>
      <c r="G2" s="28">
        <v>6</v>
      </c>
      <c r="H2" s="28">
        <v>7</v>
      </c>
      <c r="I2" s="28">
        <v>8</v>
      </c>
      <c r="J2" s="28">
        <v>9</v>
      </c>
      <c r="K2" s="28">
        <v>10</v>
      </c>
      <c r="L2" s="28">
        <v>11</v>
      </c>
      <c r="M2" s="28">
        <v>12</v>
      </c>
      <c r="N2" s="28">
        <v>13</v>
      </c>
      <c r="O2" s="28" t="s">
        <v>14</v>
      </c>
      <c r="P2" s="28" t="s">
        <v>14</v>
      </c>
      <c r="Q2" s="28" t="s">
        <v>14</v>
      </c>
      <c r="R2" s="28" t="s">
        <v>14</v>
      </c>
      <c r="S2" s="28" t="s">
        <v>14</v>
      </c>
      <c r="T2" s="28" t="s">
        <v>14</v>
      </c>
    </row>
    <row r="3" spans="1:20" ht="12">
      <c r="A3" s="13" t="s">
        <v>55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>
        <v>13</v>
      </c>
      <c r="O3" s="28">
        <v>14</v>
      </c>
      <c r="P3" s="28">
        <v>15</v>
      </c>
      <c r="Q3" s="28">
        <v>16</v>
      </c>
      <c r="R3" s="28" t="s">
        <v>14</v>
      </c>
      <c r="S3" s="28" t="s">
        <v>14</v>
      </c>
      <c r="T3" s="28" t="s">
        <v>14</v>
      </c>
    </row>
    <row r="4" spans="1:20" ht="12">
      <c r="A4" s="13" t="s">
        <v>56</v>
      </c>
      <c r="B4" s="28">
        <v>1</v>
      </c>
      <c r="C4" s="28">
        <v>2</v>
      </c>
      <c r="D4" s="28">
        <v>3</v>
      </c>
      <c r="E4" s="28">
        <v>4</v>
      </c>
      <c r="F4" s="28">
        <v>5</v>
      </c>
      <c r="G4" s="28">
        <v>6</v>
      </c>
      <c r="H4" s="28">
        <v>7</v>
      </c>
      <c r="I4" s="28">
        <v>8</v>
      </c>
      <c r="J4" s="28">
        <v>9</v>
      </c>
      <c r="K4" s="28">
        <v>10</v>
      </c>
      <c r="L4" s="28">
        <v>11</v>
      </c>
      <c r="M4" s="28">
        <v>12</v>
      </c>
      <c r="N4" s="28">
        <v>13</v>
      </c>
      <c r="O4" s="28">
        <v>14</v>
      </c>
      <c r="P4" s="28">
        <v>15</v>
      </c>
      <c r="Q4" s="28">
        <v>16</v>
      </c>
      <c r="R4" s="28">
        <v>17</v>
      </c>
      <c r="S4" s="28">
        <v>18</v>
      </c>
      <c r="T4" s="28">
        <v>19</v>
      </c>
    </row>
    <row r="5" spans="1:20" ht="12">
      <c r="A5" s="41" t="s">
        <v>119</v>
      </c>
      <c r="B5" s="28">
        <v>1</v>
      </c>
      <c r="C5" s="28">
        <v>2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</row>
    <row r="6" spans="1:20" ht="12">
      <c r="A6" s="11" t="s">
        <v>10</v>
      </c>
      <c r="B6" s="35"/>
      <c r="C6" s="35"/>
      <c r="D6" s="35"/>
      <c r="E6" s="35"/>
      <c r="F6" s="35"/>
      <c r="G6" s="35"/>
      <c r="H6" s="35"/>
      <c r="I6" s="35"/>
      <c r="J6" s="36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12">
      <c r="A7" s="13" t="s">
        <v>54</v>
      </c>
      <c r="B7" s="37" t="s">
        <v>115</v>
      </c>
      <c r="C7" s="28">
        <v>1.5</v>
      </c>
      <c r="D7" s="28">
        <v>1.5</v>
      </c>
      <c r="E7" s="28">
        <v>1.5</v>
      </c>
      <c r="F7" s="28">
        <v>1.5</v>
      </c>
      <c r="G7" s="28">
        <v>1.5</v>
      </c>
      <c r="H7" s="28">
        <v>1.5</v>
      </c>
      <c r="I7" s="28">
        <v>1.5</v>
      </c>
      <c r="J7" s="28">
        <v>1.5</v>
      </c>
      <c r="K7" s="28">
        <v>1.5</v>
      </c>
      <c r="L7" s="28">
        <v>1.5</v>
      </c>
      <c r="M7" s="28">
        <v>1.5</v>
      </c>
      <c r="N7" s="28">
        <v>0.5</v>
      </c>
      <c r="O7" s="28" t="s">
        <v>14</v>
      </c>
      <c r="P7" s="28" t="s">
        <v>14</v>
      </c>
      <c r="Q7" s="28" t="s">
        <v>14</v>
      </c>
      <c r="R7" s="28" t="s">
        <v>14</v>
      </c>
      <c r="S7" s="28" t="s">
        <v>14</v>
      </c>
      <c r="T7" s="28" t="s">
        <v>14</v>
      </c>
    </row>
    <row r="8" spans="1:20" ht="12">
      <c r="A8" s="13" t="s">
        <v>55</v>
      </c>
      <c r="B8" s="37" t="s">
        <v>115</v>
      </c>
      <c r="C8" s="28">
        <v>1.5</v>
      </c>
      <c r="D8" s="28">
        <v>1.5</v>
      </c>
      <c r="E8" s="28">
        <v>1.5</v>
      </c>
      <c r="F8" s="28">
        <v>1.5</v>
      </c>
      <c r="G8" s="28">
        <v>1.5</v>
      </c>
      <c r="H8" s="28">
        <v>1.5</v>
      </c>
      <c r="I8" s="28">
        <v>1.5</v>
      </c>
      <c r="J8" s="28">
        <v>1.5</v>
      </c>
      <c r="K8" s="28">
        <v>1.5</v>
      </c>
      <c r="L8" s="28">
        <v>1.5</v>
      </c>
      <c r="M8" s="28">
        <v>1.5</v>
      </c>
      <c r="N8" s="28">
        <v>1.5</v>
      </c>
      <c r="O8" s="28">
        <v>1.5</v>
      </c>
      <c r="P8" s="28">
        <v>1.5</v>
      </c>
      <c r="Q8" s="28">
        <v>0.5</v>
      </c>
      <c r="R8" s="28" t="s">
        <v>14</v>
      </c>
      <c r="S8" s="28" t="s">
        <v>14</v>
      </c>
      <c r="T8" s="28" t="s">
        <v>14</v>
      </c>
    </row>
    <row r="9" spans="1:20" ht="12">
      <c r="A9" s="13" t="s">
        <v>56</v>
      </c>
      <c r="B9" s="37" t="s">
        <v>115</v>
      </c>
      <c r="C9" s="28">
        <v>1.5</v>
      </c>
      <c r="D9" s="28">
        <v>1.5</v>
      </c>
      <c r="E9" s="28">
        <v>1.5</v>
      </c>
      <c r="F9" s="28">
        <v>1.5</v>
      </c>
      <c r="G9" s="28">
        <v>1.5</v>
      </c>
      <c r="H9" s="28">
        <v>1.5</v>
      </c>
      <c r="I9" s="28">
        <v>1.5</v>
      </c>
      <c r="J9" s="28">
        <v>1.5</v>
      </c>
      <c r="K9" s="28">
        <v>1.5</v>
      </c>
      <c r="L9" s="28">
        <v>1.5</v>
      </c>
      <c r="M9" s="28">
        <v>1.5</v>
      </c>
      <c r="N9" s="28">
        <v>1.5</v>
      </c>
      <c r="O9" s="28">
        <v>1.5</v>
      </c>
      <c r="P9" s="28">
        <v>1.5</v>
      </c>
      <c r="Q9" s="28">
        <v>1.5</v>
      </c>
      <c r="R9" s="28">
        <v>1.5</v>
      </c>
      <c r="S9" s="28">
        <v>1.5</v>
      </c>
      <c r="T9" s="28">
        <v>0.5</v>
      </c>
    </row>
    <row r="10" spans="1:20" ht="12">
      <c r="A10" s="41" t="s">
        <v>119</v>
      </c>
      <c r="B10" s="37" t="s">
        <v>120</v>
      </c>
      <c r="C10" s="28">
        <v>1.5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12">
      <c r="A11" s="11" t="s">
        <v>11</v>
      </c>
      <c r="B11" s="26"/>
      <c r="C11" s="27"/>
      <c r="D11" s="26"/>
      <c r="E11" s="26"/>
      <c r="F11" s="26"/>
      <c r="G11" s="26"/>
      <c r="H11" s="26"/>
      <c r="I11" s="26"/>
      <c r="J11" s="26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0" ht="12">
      <c r="A12" s="13" t="s">
        <v>54</v>
      </c>
      <c r="B12" s="14" t="s">
        <v>58</v>
      </c>
      <c r="C12" s="15" t="s">
        <v>118</v>
      </c>
      <c r="D12" s="17" t="s">
        <v>59</v>
      </c>
      <c r="E12" s="17" t="s">
        <v>70</v>
      </c>
      <c r="F12" s="29" t="s">
        <v>76</v>
      </c>
      <c r="G12" s="18" t="s">
        <v>84</v>
      </c>
      <c r="H12" s="30" t="s">
        <v>92</v>
      </c>
      <c r="I12" s="30" t="s">
        <v>91</v>
      </c>
      <c r="J12" s="30" t="s">
        <v>93</v>
      </c>
      <c r="K12" s="30" t="s">
        <v>94</v>
      </c>
      <c r="L12" s="19" t="s">
        <v>97</v>
      </c>
      <c r="M12" s="19" t="s">
        <v>98</v>
      </c>
      <c r="N12" s="34" t="s">
        <v>123</v>
      </c>
      <c r="O12" s="28" t="s">
        <v>14</v>
      </c>
      <c r="P12" s="28" t="s">
        <v>14</v>
      </c>
      <c r="Q12" s="28" t="s">
        <v>14</v>
      </c>
      <c r="R12" s="28" t="s">
        <v>14</v>
      </c>
      <c r="S12" s="28" t="s">
        <v>14</v>
      </c>
      <c r="T12" s="28" t="s">
        <v>14</v>
      </c>
    </row>
    <row r="13" spans="1:20" ht="12">
      <c r="A13" s="13" t="s">
        <v>55</v>
      </c>
      <c r="B13" s="14" t="s">
        <v>62</v>
      </c>
      <c r="C13" s="16" t="s">
        <v>68</v>
      </c>
      <c r="D13" s="17" t="s">
        <v>71</v>
      </c>
      <c r="E13" s="29" t="s">
        <v>77</v>
      </c>
      <c r="F13" s="29" t="s">
        <v>78</v>
      </c>
      <c r="G13" s="18" t="s">
        <v>86</v>
      </c>
      <c r="H13" s="18" t="s">
        <v>87</v>
      </c>
      <c r="I13" s="30" t="s">
        <v>95</v>
      </c>
      <c r="J13" s="30" t="s">
        <v>96</v>
      </c>
      <c r="K13" s="19" t="s">
        <v>99</v>
      </c>
      <c r="L13" s="19" t="s">
        <v>100</v>
      </c>
      <c r="M13" s="32" t="s">
        <v>103</v>
      </c>
      <c r="N13" s="32" t="s">
        <v>104</v>
      </c>
      <c r="O13" s="32" t="s">
        <v>105</v>
      </c>
      <c r="P13" s="32" t="s">
        <v>106</v>
      </c>
      <c r="Q13" s="31" t="s">
        <v>124</v>
      </c>
      <c r="R13" s="28" t="s">
        <v>14</v>
      </c>
      <c r="S13" s="28" t="s">
        <v>14</v>
      </c>
      <c r="T13" s="28" t="s">
        <v>14</v>
      </c>
    </row>
    <row r="14" spans="1:21" ht="12">
      <c r="A14" s="13" t="s">
        <v>56</v>
      </c>
      <c r="B14" s="14" t="s">
        <v>64</v>
      </c>
      <c r="C14" s="15" t="s">
        <v>65</v>
      </c>
      <c r="D14" s="16" t="s">
        <v>114</v>
      </c>
      <c r="E14" s="17" t="s">
        <v>72</v>
      </c>
      <c r="F14" s="17" t="s">
        <v>73</v>
      </c>
      <c r="G14" s="29" t="s">
        <v>79</v>
      </c>
      <c r="H14" s="29" t="s">
        <v>80</v>
      </c>
      <c r="I14" s="29" t="s">
        <v>81</v>
      </c>
      <c r="J14" s="18" t="s">
        <v>90</v>
      </c>
      <c r="K14" s="18" t="s">
        <v>89</v>
      </c>
      <c r="L14" s="19" t="s">
        <v>101</v>
      </c>
      <c r="M14" s="19" t="s">
        <v>102</v>
      </c>
      <c r="N14" s="32" t="s">
        <v>108</v>
      </c>
      <c r="O14" s="32" t="s">
        <v>109</v>
      </c>
      <c r="P14" s="32" t="s">
        <v>110</v>
      </c>
      <c r="Q14" s="32" t="s">
        <v>111</v>
      </c>
      <c r="R14" s="33" t="s">
        <v>112</v>
      </c>
      <c r="S14" s="33" t="s">
        <v>113</v>
      </c>
      <c r="T14" s="31" t="s">
        <v>124</v>
      </c>
      <c r="U14" s="27"/>
    </row>
    <row r="15" spans="1:21" ht="12">
      <c r="A15" s="41" t="s">
        <v>119</v>
      </c>
      <c r="B15" s="15" t="s">
        <v>65</v>
      </c>
      <c r="C15" s="16" t="s">
        <v>114</v>
      </c>
      <c r="D15" s="28" t="s">
        <v>14</v>
      </c>
      <c r="E15" s="28" t="s">
        <v>14</v>
      </c>
      <c r="F15" s="28" t="s">
        <v>14</v>
      </c>
      <c r="G15" s="28" t="s">
        <v>14</v>
      </c>
      <c r="H15" s="28" t="s">
        <v>14</v>
      </c>
      <c r="I15" s="28" t="s">
        <v>14</v>
      </c>
      <c r="J15" s="28" t="s">
        <v>14</v>
      </c>
      <c r="K15" s="28" t="s">
        <v>14</v>
      </c>
      <c r="L15" s="28" t="s">
        <v>14</v>
      </c>
      <c r="M15" s="28" t="s">
        <v>14</v>
      </c>
      <c r="N15" s="28" t="s">
        <v>14</v>
      </c>
      <c r="O15" s="28" t="s">
        <v>14</v>
      </c>
      <c r="P15" s="28" t="s">
        <v>14</v>
      </c>
      <c r="Q15" s="28" t="s">
        <v>14</v>
      </c>
      <c r="R15" s="28" t="s">
        <v>14</v>
      </c>
      <c r="S15" s="28" t="s">
        <v>14</v>
      </c>
      <c r="T15" s="28" t="s">
        <v>14</v>
      </c>
      <c r="U15" s="27"/>
    </row>
    <row r="16" spans="1:20" ht="12">
      <c r="A16" s="11" t="s">
        <v>17</v>
      </c>
      <c r="B16" s="26"/>
      <c r="C16" s="26"/>
      <c r="E16" s="26"/>
      <c r="F16" s="26"/>
      <c r="G16" s="26"/>
      <c r="H16" s="26"/>
      <c r="I16" s="26"/>
      <c r="J16" s="26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spans="1:20" ht="12">
      <c r="A17" s="13" t="s">
        <v>54</v>
      </c>
      <c r="B17" s="14" t="s">
        <v>63</v>
      </c>
      <c r="C17" s="15" t="s">
        <v>60</v>
      </c>
      <c r="D17" s="17" t="s">
        <v>20</v>
      </c>
      <c r="E17" s="17" t="s">
        <v>20</v>
      </c>
      <c r="F17" s="29" t="s">
        <v>74</v>
      </c>
      <c r="G17" s="18" t="s">
        <v>85</v>
      </c>
      <c r="H17" s="30" t="s">
        <v>21</v>
      </c>
      <c r="I17" s="30" t="s">
        <v>21</v>
      </c>
      <c r="J17" s="30" t="s">
        <v>21</v>
      </c>
      <c r="K17" s="30" t="s">
        <v>21</v>
      </c>
      <c r="L17" s="19" t="s">
        <v>22</v>
      </c>
      <c r="M17" s="19" t="s">
        <v>22</v>
      </c>
      <c r="N17" s="34" t="s">
        <v>126</v>
      </c>
      <c r="O17" s="28" t="s">
        <v>14</v>
      </c>
      <c r="P17" s="28" t="s">
        <v>14</v>
      </c>
      <c r="Q17" s="28" t="s">
        <v>14</v>
      </c>
      <c r="R17" s="28" t="s">
        <v>14</v>
      </c>
      <c r="S17" s="28" t="s">
        <v>14</v>
      </c>
      <c r="T17" s="28" t="s">
        <v>14</v>
      </c>
    </row>
    <row r="18" spans="1:20" ht="12">
      <c r="A18" s="13" t="s">
        <v>55</v>
      </c>
      <c r="B18" s="14" t="s">
        <v>63</v>
      </c>
      <c r="C18" s="16" t="s">
        <v>67</v>
      </c>
      <c r="D18" s="17" t="s">
        <v>20</v>
      </c>
      <c r="E18" s="29" t="s">
        <v>74</v>
      </c>
      <c r="F18" s="29" t="s">
        <v>74</v>
      </c>
      <c r="G18" s="18" t="s">
        <v>85</v>
      </c>
      <c r="H18" s="18" t="s">
        <v>85</v>
      </c>
      <c r="I18" s="30" t="s">
        <v>21</v>
      </c>
      <c r="J18" s="30" t="s">
        <v>21</v>
      </c>
      <c r="K18" s="19" t="s">
        <v>22</v>
      </c>
      <c r="L18" s="19" t="s">
        <v>22</v>
      </c>
      <c r="M18" s="32" t="s">
        <v>23</v>
      </c>
      <c r="N18" s="32" t="s">
        <v>23</v>
      </c>
      <c r="O18" s="32" t="s">
        <v>23</v>
      </c>
      <c r="P18" s="32" t="s">
        <v>23</v>
      </c>
      <c r="Q18" s="31" t="s">
        <v>126</v>
      </c>
      <c r="R18" s="28" t="s">
        <v>14</v>
      </c>
      <c r="S18" s="28" t="s">
        <v>14</v>
      </c>
      <c r="T18" s="28" t="s">
        <v>14</v>
      </c>
    </row>
    <row r="19" spans="1:21" ht="12">
      <c r="A19" s="13" t="s">
        <v>56</v>
      </c>
      <c r="B19" s="14" t="s">
        <v>63</v>
      </c>
      <c r="C19" s="15" t="s">
        <v>60</v>
      </c>
      <c r="D19" s="16" t="s">
        <v>67</v>
      </c>
      <c r="E19" s="17" t="s">
        <v>20</v>
      </c>
      <c r="F19" s="17" t="s">
        <v>20</v>
      </c>
      <c r="G19" s="29" t="s">
        <v>74</v>
      </c>
      <c r="H19" s="29" t="s">
        <v>74</v>
      </c>
      <c r="I19" s="29" t="s">
        <v>74</v>
      </c>
      <c r="J19" s="18" t="s">
        <v>85</v>
      </c>
      <c r="K19" s="18" t="s">
        <v>85</v>
      </c>
      <c r="L19" s="19" t="s">
        <v>22</v>
      </c>
      <c r="M19" s="19" t="s">
        <v>22</v>
      </c>
      <c r="N19" s="32" t="s">
        <v>23</v>
      </c>
      <c r="O19" s="32" t="s">
        <v>23</v>
      </c>
      <c r="P19" s="32" t="s">
        <v>23</v>
      </c>
      <c r="Q19" s="32" t="s">
        <v>23</v>
      </c>
      <c r="R19" s="32" t="s">
        <v>23</v>
      </c>
      <c r="S19" s="32" t="s">
        <v>23</v>
      </c>
      <c r="T19" s="31" t="s">
        <v>126</v>
      </c>
      <c r="U19" s="27"/>
    </row>
    <row r="20" spans="1:20" ht="12">
      <c r="A20" s="12" t="s">
        <v>119</v>
      </c>
      <c r="B20" s="15" t="s">
        <v>60</v>
      </c>
      <c r="C20" s="16" t="s">
        <v>67</v>
      </c>
      <c r="D20" s="28" t="s">
        <v>14</v>
      </c>
      <c r="E20" s="28" t="s">
        <v>14</v>
      </c>
      <c r="F20" s="28" t="s">
        <v>14</v>
      </c>
      <c r="G20" s="28" t="s">
        <v>14</v>
      </c>
      <c r="H20" s="28" t="s">
        <v>14</v>
      </c>
      <c r="I20" s="28" t="s">
        <v>14</v>
      </c>
      <c r="J20" s="28" t="s">
        <v>14</v>
      </c>
      <c r="K20" s="28" t="s">
        <v>14</v>
      </c>
      <c r="L20" s="28" t="s">
        <v>14</v>
      </c>
      <c r="M20" s="28" t="s">
        <v>14</v>
      </c>
      <c r="N20" s="28" t="s">
        <v>14</v>
      </c>
      <c r="O20" s="28" t="s">
        <v>14</v>
      </c>
      <c r="P20" s="28" t="s">
        <v>14</v>
      </c>
      <c r="Q20" s="28" t="s">
        <v>14</v>
      </c>
      <c r="R20" s="28" t="s">
        <v>14</v>
      </c>
      <c r="S20" s="28" t="s">
        <v>14</v>
      </c>
      <c r="T20" s="28" t="s">
        <v>14</v>
      </c>
    </row>
    <row r="21" spans="2:20" ht="12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4" spans="1:7" ht="18.75" customHeight="1">
      <c r="A24" s="25" t="s">
        <v>50</v>
      </c>
      <c r="B24" s="77" t="s">
        <v>26</v>
      </c>
      <c r="C24" s="78"/>
      <c r="D24" s="77" t="s">
        <v>34</v>
      </c>
      <c r="E24" s="78"/>
      <c r="F24" s="77" t="s">
        <v>42</v>
      </c>
      <c r="G24" s="78"/>
    </row>
    <row r="25" spans="1:7" ht="12" customHeight="1">
      <c r="A25" s="25"/>
      <c r="B25" s="25" t="s">
        <v>27</v>
      </c>
      <c r="C25" s="25" t="s">
        <v>28</v>
      </c>
      <c r="D25" s="25" t="s">
        <v>27</v>
      </c>
      <c r="E25" s="25" t="s">
        <v>28</v>
      </c>
      <c r="F25" s="25" t="s">
        <v>27</v>
      </c>
      <c r="G25" s="25" t="s">
        <v>28</v>
      </c>
    </row>
    <row r="26" spans="1:7" ht="36" customHeight="1">
      <c r="A26" s="25" t="s">
        <v>63</v>
      </c>
      <c r="B26" s="25" t="s">
        <v>57</v>
      </c>
      <c r="C26" s="25">
        <v>1</v>
      </c>
      <c r="D26" s="25" t="s">
        <v>61</v>
      </c>
      <c r="E26" s="25">
        <v>1</v>
      </c>
      <c r="F26" s="25" t="s">
        <v>43</v>
      </c>
      <c r="G26" s="25">
        <v>1</v>
      </c>
    </row>
    <row r="27" spans="1:7" ht="48">
      <c r="A27" s="25" t="s">
        <v>51</v>
      </c>
      <c r="B27" s="25" t="s">
        <v>29</v>
      </c>
      <c r="C27" s="25">
        <v>1.5</v>
      </c>
      <c r="D27" s="25"/>
      <c r="E27" s="25"/>
      <c r="F27" s="25" t="s">
        <v>44</v>
      </c>
      <c r="G27" s="25">
        <v>1.5</v>
      </c>
    </row>
    <row r="28" spans="1:7" ht="48">
      <c r="A28" s="25" t="s">
        <v>66</v>
      </c>
      <c r="B28" s="25"/>
      <c r="C28" s="25"/>
      <c r="D28" s="25" t="s">
        <v>35</v>
      </c>
      <c r="E28" s="25">
        <v>1.5</v>
      </c>
      <c r="F28" s="25" t="s">
        <v>45</v>
      </c>
      <c r="G28" s="25">
        <v>1.5</v>
      </c>
    </row>
    <row r="29" spans="1:7" ht="72">
      <c r="A29" s="25" t="s">
        <v>69</v>
      </c>
      <c r="B29" s="25" t="s">
        <v>30</v>
      </c>
      <c r="C29" s="25">
        <v>3</v>
      </c>
      <c r="D29" s="25" t="s">
        <v>36</v>
      </c>
      <c r="E29" s="25">
        <v>1.5</v>
      </c>
      <c r="F29" s="25" t="s">
        <v>46</v>
      </c>
      <c r="G29" s="25">
        <v>3</v>
      </c>
    </row>
    <row r="30" spans="1:7" ht="156">
      <c r="A30" s="25" t="s">
        <v>52</v>
      </c>
      <c r="B30" s="25" t="s">
        <v>75</v>
      </c>
      <c r="C30" s="25">
        <v>1.5</v>
      </c>
      <c r="D30" s="25" t="s">
        <v>37</v>
      </c>
      <c r="E30" s="25">
        <v>3</v>
      </c>
      <c r="F30" s="25" t="s">
        <v>47</v>
      </c>
      <c r="G30" s="25">
        <v>4.5</v>
      </c>
    </row>
    <row r="31" spans="1:7" ht="72">
      <c r="A31" s="25" t="s">
        <v>82</v>
      </c>
      <c r="B31" s="25" t="s">
        <v>83</v>
      </c>
      <c r="C31" s="25">
        <v>1.5</v>
      </c>
      <c r="D31" s="25" t="s">
        <v>38</v>
      </c>
      <c r="E31" s="25">
        <v>3</v>
      </c>
      <c r="F31" s="25" t="s">
        <v>88</v>
      </c>
      <c r="G31" s="25">
        <v>3</v>
      </c>
    </row>
    <row r="32" spans="1:7" ht="96">
      <c r="A32" s="25" t="s">
        <v>18</v>
      </c>
      <c r="B32" s="25" t="s">
        <v>31</v>
      </c>
      <c r="C32" s="25">
        <v>6</v>
      </c>
      <c r="D32" s="25" t="s">
        <v>39</v>
      </c>
      <c r="E32" s="25">
        <v>3</v>
      </c>
      <c r="F32" s="25"/>
      <c r="G32" s="25"/>
    </row>
    <row r="33" spans="1:7" ht="84">
      <c r="A33" s="25" t="s">
        <v>19</v>
      </c>
      <c r="B33" s="25" t="s">
        <v>32</v>
      </c>
      <c r="C33" s="25">
        <v>3</v>
      </c>
      <c r="D33" s="25" t="s">
        <v>40</v>
      </c>
      <c r="E33" s="25">
        <v>3</v>
      </c>
      <c r="F33" s="25" t="s">
        <v>48</v>
      </c>
      <c r="G33" s="25">
        <v>3</v>
      </c>
    </row>
    <row r="34" spans="1:7" ht="120">
      <c r="A34" s="25" t="s">
        <v>107</v>
      </c>
      <c r="B34" s="25"/>
      <c r="C34" s="25"/>
      <c r="D34" s="25" t="s">
        <v>41</v>
      </c>
      <c r="E34" s="25">
        <v>6</v>
      </c>
      <c r="F34" s="25" t="s">
        <v>49</v>
      </c>
      <c r="G34" s="25">
        <v>9</v>
      </c>
    </row>
    <row r="35" spans="1:7" ht="12">
      <c r="A35" s="25" t="s">
        <v>53</v>
      </c>
      <c r="B35" s="25" t="s">
        <v>33</v>
      </c>
      <c r="C35" s="25">
        <v>0.5</v>
      </c>
      <c r="D35" s="25" t="s">
        <v>33</v>
      </c>
      <c r="E35" s="25">
        <v>0.5</v>
      </c>
      <c r="F35" s="25" t="s">
        <v>33</v>
      </c>
      <c r="G35" s="25">
        <v>0.5</v>
      </c>
    </row>
    <row r="36" spans="1:7" ht="12">
      <c r="A36" s="25"/>
      <c r="B36" s="25"/>
      <c r="C36" s="25">
        <v>18</v>
      </c>
      <c r="D36" s="25"/>
      <c r="E36" s="25">
        <v>22.5</v>
      </c>
      <c r="F36" s="25"/>
      <c r="G36" s="25">
        <v>27</v>
      </c>
    </row>
    <row r="37" spans="2:7" ht="12">
      <c r="B37" s="9"/>
      <c r="C37" s="10"/>
      <c r="D37" s="9"/>
      <c r="E37" s="10"/>
      <c r="F37" s="9"/>
      <c r="G37" s="10"/>
    </row>
  </sheetData>
  <sheetProtection sheet="1" selectLockedCells="1" selectUnlockedCells="1"/>
  <mergeCells count="3">
    <mergeCell ref="B24:C24"/>
    <mergeCell ref="D24:E24"/>
    <mergeCell ref="F24:G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土屋文乃</dc:creator>
  <cp:keywords/>
  <dc:description/>
  <cp:lastModifiedBy>ikou01</cp:lastModifiedBy>
  <cp:lastPrinted>2014-06-27T02:23:41Z</cp:lastPrinted>
  <dcterms:created xsi:type="dcterms:W3CDTF">2003-08-22T01:21:05Z</dcterms:created>
  <dcterms:modified xsi:type="dcterms:W3CDTF">2015-03-16T02:23:17Z</dcterms:modified>
  <cp:category/>
  <cp:version/>
  <cp:contentType/>
  <cp:contentStatus/>
</cp:coreProperties>
</file>